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15\"/>
    </mc:Choice>
  </mc:AlternateContent>
  <bookViews>
    <workbookView xWindow="0" yWindow="0" windowWidth="19305" windowHeight="8085"/>
  </bookViews>
  <sheets>
    <sheet name="CT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1" l="1"/>
  <c r="Z16" i="1"/>
  <c r="Y16" i="1"/>
  <c r="Y15" i="1"/>
  <c r="Z15" i="1" s="1"/>
  <c r="Z14" i="1"/>
  <c r="Y14" i="1"/>
  <c r="Y13" i="1"/>
  <c r="Z13" i="1" s="1"/>
  <c r="Z12" i="1"/>
  <c r="Y12" i="1"/>
  <c r="Y11" i="1"/>
  <c r="Z11" i="1" s="1"/>
  <c r="Z10" i="1"/>
  <c r="Y10" i="1"/>
  <c r="Y9" i="1"/>
  <c r="Z9" i="1" s="1"/>
  <c r="Z8" i="1"/>
  <c r="Y8" i="1"/>
  <c r="Y7" i="1"/>
  <c r="Z7" i="1" s="1"/>
  <c r="Z6" i="1"/>
  <c r="Y6" i="1"/>
  <c r="Y5" i="1"/>
  <c r="Z5" i="1" s="1"/>
  <c r="Z4" i="1"/>
  <c r="Y4" i="1"/>
  <c r="Y3" i="1"/>
  <c r="Z3" i="1" s="1"/>
  <c r="Z2" i="1"/>
  <c r="Y2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F3" i="1"/>
  <c r="H3" i="1" s="1"/>
  <c r="F2" i="1"/>
  <c r="H2" i="1" s="1"/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2" i="1"/>
  <c r="AE9" i="1"/>
  <c r="AE3" i="1"/>
  <c r="AB15" i="1" l="1"/>
  <c r="AB11" i="1"/>
  <c r="AB7" i="1"/>
  <c r="AB3" i="1"/>
  <c r="AB16" i="1"/>
  <c r="AB12" i="1"/>
  <c r="AB8" i="1"/>
  <c r="AB4" i="1"/>
  <c r="AB14" i="1"/>
  <c r="AB10" i="1"/>
  <c r="AB6" i="1"/>
  <c r="AB2" i="1"/>
  <c r="AB13" i="1"/>
  <c r="AB9" i="1"/>
  <c r="AB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K3" i="1" s="1"/>
  <c r="I4" i="1"/>
  <c r="K4" i="1" s="1"/>
  <c r="I5" i="1"/>
  <c r="K5" i="1" s="1"/>
  <c r="L5" i="1" s="1"/>
  <c r="I6" i="1"/>
  <c r="K6" i="1" s="1"/>
  <c r="L6" i="1" s="1"/>
  <c r="I7" i="1"/>
  <c r="K7" i="1" s="1"/>
  <c r="I8" i="1"/>
  <c r="K8" i="1" s="1"/>
  <c r="I9" i="1"/>
  <c r="K9" i="1" s="1"/>
  <c r="I10" i="1"/>
  <c r="K10" i="1" s="1"/>
  <c r="L10" i="1" s="1"/>
  <c r="I11" i="1"/>
  <c r="K11" i="1" s="1"/>
  <c r="I12" i="1"/>
  <c r="K12" i="1" s="1"/>
  <c r="L12" i="1" s="1"/>
  <c r="I13" i="1"/>
  <c r="K13" i="1" s="1"/>
  <c r="L13" i="1" s="1"/>
  <c r="I14" i="1"/>
  <c r="K14" i="1" s="1"/>
  <c r="I15" i="1"/>
  <c r="K15" i="1" s="1"/>
  <c r="L15" i="1" s="1"/>
  <c r="I16" i="1"/>
  <c r="K16" i="1" s="1"/>
  <c r="L16" i="1" s="1"/>
  <c r="I17" i="1"/>
  <c r="K17" i="1" s="1"/>
  <c r="I2" i="1"/>
  <c r="K2" i="1" s="1"/>
  <c r="L2" i="1" s="1"/>
  <c r="M14" i="1" l="1"/>
  <c r="L14" i="1"/>
  <c r="M9" i="1"/>
  <c r="L9" i="1"/>
  <c r="L17" i="1"/>
  <c r="M8" i="1"/>
  <c r="L8" i="1"/>
  <c r="M4" i="1"/>
  <c r="N4" i="1" s="1"/>
  <c r="L4" i="1"/>
  <c r="M11" i="1"/>
  <c r="L11" i="1"/>
  <c r="M7" i="1"/>
  <c r="N7" i="1" s="1"/>
  <c r="L7" i="1"/>
  <c r="M3" i="1"/>
  <c r="L3" i="1"/>
  <c r="T8" i="1"/>
  <c r="X9" i="1"/>
  <c r="T4" i="1"/>
  <c r="X11" i="1"/>
  <c r="AC11" i="1" s="1"/>
  <c r="T7" i="1"/>
  <c r="T3" i="1"/>
  <c r="X14" i="1"/>
  <c r="AC14" i="1" s="1"/>
  <c r="T14" i="1"/>
  <c r="O14" i="1"/>
  <c r="O9" i="1"/>
  <c r="M6" i="1"/>
  <c r="N6" i="1" s="1"/>
  <c r="O3" i="1"/>
  <c r="M5" i="1"/>
  <c r="N5" i="1" s="1"/>
  <c r="M10" i="1"/>
  <c r="N10" i="1" s="1"/>
  <c r="O8" i="1"/>
  <c r="M12" i="1"/>
  <c r="N12" i="1" s="1"/>
  <c r="M13" i="1"/>
  <c r="N13" i="1" s="1"/>
  <c r="M2" i="1"/>
  <c r="N2" i="1" s="1"/>
  <c r="M15" i="1"/>
  <c r="N15" i="1" s="1"/>
  <c r="M16" i="1"/>
  <c r="N16" i="1" s="1"/>
  <c r="M17" i="1"/>
  <c r="N17" i="1" s="1"/>
  <c r="AC9" i="1"/>
  <c r="X7" i="1" l="1"/>
  <c r="AC7" i="1" s="1"/>
  <c r="X4" i="1"/>
  <c r="AC4" i="1" s="1"/>
  <c r="N9" i="1"/>
  <c r="P9" i="1" s="1"/>
  <c r="O7" i="1"/>
  <c r="P7" i="1" s="1"/>
  <c r="N3" i="1"/>
  <c r="P3" i="1" s="1"/>
  <c r="O11" i="1"/>
  <c r="N11" i="1"/>
  <c r="X8" i="1"/>
  <c r="AC8" i="1" s="1"/>
  <c r="N8" i="1"/>
  <c r="P8" i="1" s="1"/>
  <c r="O4" i="1"/>
  <c r="P4" i="1" s="1"/>
  <c r="X3" i="1"/>
  <c r="AC3" i="1" s="1"/>
  <c r="T11" i="1"/>
  <c r="T9" i="1"/>
  <c r="N14" i="1"/>
  <c r="P14" i="1" s="1"/>
  <c r="T13" i="1"/>
  <c r="X13" i="1"/>
  <c r="T6" i="1"/>
  <c r="X6" i="1"/>
  <c r="AC6" i="1" s="1"/>
  <c r="X15" i="1"/>
  <c r="AC15" i="1" s="1"/>
  <c r="T15" i="1"/>
  <c r="X12" i="1"/>
  <c r="AC12" i="1" s="1"/>
  <c r="T12" i="1"/>
  <c r="T5" i="1"/>
  <c r="X5" i="1"/>
  <c r="AC5" i="1" s="1"/>
  <c r="X16" i="1"/>
  <c r="T16" i="1"/>
  <c r="T2" i="1"/>
  <c r="V3" i="1" s="1"/>
  <c r="X2" i="1"/>
  <c r="X17" i="1"/>
  <c r="X10" i="1"/>
  <c r="AC10" i="1" s="1"/>
  <c r="T10" i="1"/>
  <c r="Q4" i="1"/>
  <c r="Q3" i="1"/>
  <c r="Q7" i="1"/>
  <c r="Q11" i="1"/>
  <c r="Q8" i="1"/>
  <c r="Q14" i="1"/>
  <c r="Q9" i="1"/>
  <c r="O2" i="1"/>
  <c r="P2" i="1" s="1"/>
  <c r="O17" i="1"/>
  <c r="P17" i="1" s="1"/>
  <c r="O12" i="1"/>
  <c r="P12" i="1" s="1"/>
  <c r="O5" i="1"/>
  <c r="P5" i="1" s="1"/>
  <c r="O13" i="1"/>
  <c r="P13" i="1" s="1"/>
  <c r="O16" i="1"/>
  <c r="P16" i="1" s="1"/>
  <c r="O15" i="1"/>
  <c r="P15" i="1" s="1"/>
  <c r="O10" i="1"/>
  <c r="P10" i="1" s="1"/>
  <c r="O6" i="1"/>
  <c r="P6" i="1" s="1"/>
  <c r="V4" i="1"/>
  <c r="V16" i="1" l="1"/>
  <c r="V2" i="1"/>
  <c r="P11" i="1"/>
  <c r="X23" i="1"/>
  <c r="V5" i="1"/>
  <c r="V15" i="1"/>
  <c r="V13" i="1"/>
  <c r="V12" i="1"/>
  <c r="V11" i="1"/>
  <c r="V10" i="1"/>
  <c r="V9" i="1"/>
  <c r="V8" i="1"/>
  <c r="AC16" i="1"/>
  <c r="AC13" i="1"/>
  <c r="V14" i="1"/>
  <c r="V7" i="1"/>
  <c r="V6" i="1"/>
  <c r="Q5" i="1"/>
  <c r="AC2" i="1"/>
  <c r="Q16" i="1"/>
  <c r="Q17" i="1"/>
  <c r="Q6" i="1"/>
  <c r="Q13" i="1"/>
  <c r="Q12" i="1"/>
  <c r="Q2" i="1"/>
  <c r="Q10" i="1"/>
  <c r="Q15" i="1"/>
  <c r="AC23" i="1" l="1"/>
</calcChain>
</file>

<file path=xl/sharedStrings.xml><?xml version="1.0" encoding="utf-8"?>
<sst xmlns="http://schemas.openxmlformats.org/spreadsheetml/2006/main" count="50" uniqueCount="50">
  <si>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</si>
  <si>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</si>
  <si>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</si>
  <si>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</si>
  <si>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</si>
  <si>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</si>
  <si>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</si>
  <si>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</si>
  <si>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</si>
  <si>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</si>
  <si>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</si>
  <si>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CT15 1 mL</t>
  </si>
  <si>
    <t>CT15 2 mL</t>
  </si>
  <si>
    <t>CT15 3 mL</t>
  </si>
  <si>
    <t>CT15 4 mL</t>
  </si>
  <si>
    <t>CT15 5 mL</t>
  </si>
  <si>
    <t>CT15 6 mL</t>
  </si>
  <si>
    <t>CT15 7 mL</t>
  </si>
  <si>
    <t>CT15 8 mL</t>
  </si>
  <si>
    <t>CT15 9 mL</t>
  </si>
  <si>
    <t>CT15 10 mL</t>
  </si>
  <si>
    <t>CT15 11 mL</t>
  </si>
  <si>
    <t>CT15 12 mL</t>
  </si>
  <si>
    <t>CT15 13 mL</t>
  </si>
  <si>
    <t>CT15 14 mL</t>
  </si>
  <si>
    <t>CT15 15 mL</t>
  </si>
  <si>
    <t>Blk</t>
  </si>
  <si>
    <t>Weight of Eluate (g)</t>
  </si>
  <si>
    <t>Weight Corrected Sr-90 Activity (DMP)</t>
  </si>
  <si>
    <t>Cumulative Counts (DPM)</t>
  </si>
  <si>
    <t>4 mL/min</t>
  </si>
  <si>
    <t>DPS</t>
  </si>
  <si>
    <t>Time from 05.06.2018</t>
  </si>
  <si>
    <t>Decay constant of sr-90=</t>
  </si>
  <si>
    <t>DC factor</t>
  </si>
  <si>
    <t>DC to 05.06.2018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</si>
  <si>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</si>
  <si>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</si>
  <si>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</si>
  <si>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</si>
  <si>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</si>
  <si>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</si>
  <si>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</si>
  <si>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</si>
  <si>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</si>
  <si>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</si>
  <si>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 σ</t>
  </si>
  <si>
    <t>Activity (Bq) σ ^2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</si>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</sst>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0" xfId="0" applyFill="1"/>
    <xf numFmtId="0" fontId="0" fillId="3" borderId="3" xfId="0" applyFill="1" applyBorder="1"/>
    <xf numFmtId="0" fontId="0" fillId="3" borderId="1" xfId="0" applyFill="1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1" xfId="0" applyBorder="1"/>
    <xf numFmtId="2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22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9" xfId="0" applyNumberFormat="1" applyBorder="1"/>
    <xf numFmtId="22" fontId="0" fillId="0" borderId="3" xfId="0" applyNumberFormat="1" applyBorder="1"/>
    <xf numFmtId="0" fontId="0" fillId="0" borderId="3" xfId="0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4" xfId="0" applyBorder="1"/>
    <xf numFmtId="0" fontId="0" fillId="0" borderId="10" xfId="0" applyBorder="1"/>
    <xf numFmtId="0" fontId="0" fillId="0" borderId="2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topLeftCell="M1" zoomScale="60" zoomScaleNormal="60" workbookViewId="0">
      <selection activeCell="AE23" sqref="AE2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8" bestFit="1" customWidth="1"/>
    <col min="4" max="4" width="17.5703125" bestFit="1" customWidth="1"/>
    <col min="5" max="6" width="17.5703125" style="4" customWidth="1"/>
    <col min="7" max="7" width="31.5703125" bestFit="1" customWidth="1"/>
    <col min="8" max="8" width="31.5703125" customWidth="1"/>
    <col min="9" max="9" width="20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8.85546875" bestFit="1" customWidth="1"/>
    <col min="19" max="19" width="18.85546875" customWidth="1"/>
    <col min="20" max="20" width="35.42578125" bestFit="1" customWidth="1"/>
    <col min="21" max="21" width="35.42578125" customWidth="1"/>
    <col min="22" max="22" width="26" bestFit="1" customWidth="1"/>
    <col min="23" max="23" width="28" bestFit="1" customWidth="1"/>
    <col min="24" max="26" width="12" customWidth="1"/>
    <col min="27" max="27" width="20" bestFit="1" customWidth="1"/>
    <col min="28" max="28" width="12.7109375" bestFit="1" customWidth="1"/>
    <col min="29" max="29" width="18.28515625" bestFit="1" customWidth="1"/>
    <col min="30" max="30" width="24.140625" customWidth="1"/>
    <col min="31" max="31" width="22.140625" bestFit="1" customWidth="1"/>
  </cols>
  <sheetData>
    <row r="1" spans="1:31" ht="15.75" thickBot="1" x14ac:dyDescent="0.3">
      <c r="A1" s="22" t="s">
        <v>3</v>
      </c>
      <c r="B1" s="23" t="s">
        <v>5</v>
      </c>
      <c r="C1" s="24" t="s">
        <v>4</v>
      </c>
      <c r="D1" s="24" t="s">
        <v>0</v>
      </c>
      <c r="E1" s="3" t="s">
        <v>36</v>
      </c>
      <c r="F1" s="3" t="s">
        <v>37</v>
      </c>
      <c r="G1" s="24" t="s">
        <v>10</v>
      </c>
      <c r="H1" s="3" t="s">
        <v>38</v>
      </c>
      <c r="I1" s="24" t="s">
        <v>1</v>
      </c>
      <c r="J1" s="3" t="s">
        <v>39</v>
      </c>
      <c r="K1" s="24" t="s">
        <v>6</v>
      </c>
      <c r="L1" s="3" t="s">
        <v>40</v>
      </c>
      <c r="M1" s="24" t="s">
        <v>7</v>
      </c>
      <c r="N1" s="3" t="s">
        <v>41</v>
      </c>
      <c r="O1" s="24" t="s">
        <v>8</v>
      </c>
      <c r="P1" s="3" t="s">
        <v>42</v>
      </c>
      <c r="Q1" s="24" t="s">
        <v>9</v>
      </c>
      <c r="R1" s="24" t="s">
        <v>27</v>
      </c>
      <c r="S1" s="3" t="s">
        <v>43</v>
      </c>
      <c r="T1" s="24" t="s">
        <v>28</v>
      </c>
      <c r="U1" s="3" t="s">
        <v>44</v>
      </c>
      <c r="V1" s="24" t="s">
        <v>29</v>
      </c>
      <c r="W1" s="3" t="s">
        <v>45</v>
      </c>
      <c r="X1" s="24" t="s">
        <v>31</v>
      </c>
      <c r="Y1" s="3" t="s">
        <v>46</v>
      </c>
      <c r="Z1" s="3" t="s">
        <v>47</v>
      </c>
      <c r="AA1" s="24" t="s">
        <v>32</v>
      </c>
      <c r="AB1" s="24" t="s">
        <v>34</v>
      </c>
      <c r="AC1" s="25" t="s">
        <v>35</v>
      </c>
    </row>
    <row r="2" spans="1:31" x14ac:dyDescent="0.25">
      <c r="A2" s="16" t="s">
        <v>11</v>
      </c>
      <c r="B2" s="17">
        <v>43299.625</v>
      </c>
      <c r="C2" s="18">
        <v>43302.886805555558</v>
      </c>
      <c r="D2" s="19">
        <v>6.41</v>
      </c>
      <c r="E2" s="5">
        <v>7.29</v>
      </c>
      <c r="F2" s="5">
        <f>D2*(E2/100)</f>
        <v>0.46728900000000007</v>
      </c>
      <c r="G2" s="19">
        <f>D2-$D$17</f>
        <v>-1.2299999999999995</v>
      </c>
      <c r="H2" s="5">
        <f>SQRT((F2^2)+(F$17^2))</f>
        <v>0.69196688752063851</v>
      </c>
      <c r="I2" s="20">
        <f>(C2-B2)*24</f>
        <v>78.28333333338378</v>
      </c>
      <c r="J2" s="7">
        <f>1/60</f>
        <v>1.6666666666666666E-2</v>
      </c>
      <c r="K2" s="19">
        <f>1-EXP(-$AE$3*I2)</f>
        <v>0.58676706598967321</v>
      </c>
      <c r="L2" s="5">
        <f>K2*SQRT(((J2/I2)^2))</f>
        <v>1.2492379518613903E-4</v>
      </c>
      <c r="M2" s="19">
        <f>G2/((1+K2))</f>
        <v>-0.77516103425857485</v>
      </c>
      <c r="N2" s="5">
        <f t="shared" ref="N2:N17" si="0">M2*SQRT(((H2/G2)^2)+((L2/K2)^2))</f>
        <v>-0.43608602163683707</v>
      </c>
      <c r="O2" s="19">
        <f>M2*K2</f>
        <v>-0.45483896574142452</v>
      </c>
      <c r="P2" s="5">
        <f t="shared" ref="P2:P17" si="1">O2*SQRT(((N2/M2)^2)+((L2/K2)^2))</f>
        <v>-0.25588093375836607</v>
      </c>
      <c r="Q2" s="19">
        <f>M2+O2</f>
        <v>-1.2299999999999993</v>
      </c>
      <c r="R2" s="19">
        <v>1.0504999999999995</v>
      </c>
      <c r="S2" s="5">
        <v>1.4142135623730951E-4</v>
      </c>
      <c r="T2" s="19">
        <f>M2/R2</f>
        <v>-0.7378972244251073</v>
      </c>
      <c r="U2" s="5">
        <f>T2*SQRT(((S2/R2)^2)+((N2/M2)^2))</f>
        <v>-0.41512235518584439</v>
      </c>
      <c r="V2" s="19">
        <f>SUM($T$2:T2)</f>
        <v>-0.7378972244251073</v>
      </c>
      <c r="W2" s="5">
        <f>SQRT((U2^2))</f>
        <v>0.41512235518584439</v>
      </c>
      <c r="X2" s="19">
        <f>M2/60</f>
        <v>-1.2919350570976247E-2</v>
      </c>
      <c r="Y2" s="5">
        <f>X2*SQRT(((N2/M2)^2))</f>
        <v>-7.2681003606139506E-3</v>
      </c>
      <c r="Z2" s="5">
        <f>Y2^2</f>
        <v>5.2825282851956636E-5</v>
      </c>
      <c r="AA2" s="19">
        <f>(C2-$AE$6)*24</f>
        <v>57.28333333338378</v>
      </c>
      <c r="AB2" s="21">
        <f>EXP(-$AE$9*AA2)</f>
        <v>0.99984262962703585</v>
      </c>
      <c r="AC2" s="19">
        <f>X2/AB2</f>
        <v>-1.2921384013997743E-2</v>
      </c>
      <c r="AE2" t="s">
        <v>2</v>
      </c>
    </row>
    <row r="3" spans="1:31" x14ac:dyDescent="0.25">
      <c r="A3" s="14" t="s">
        <v>12</v>
      </c>
      <c r="B3" s="13">
        <v>43299.625</v>
      </c>
      <c r="C3" s="10">
        <v>43302.909722222219</v>
      </c>
      <c r="D3" s="9">
        <v>6.44</v>
      </c>
      <c r="E3" s="6">
        <v>2.27</v>
      </c>
      <c r="F3" s="6">
        <f t="shared" ref="F3:F17" si="2">D3*(E3/100)</f>
        <v>0.14618800000000001</v>
      </c>
      <c r="G3" s="9">
        <f t="shared" ref="G3:G17" si="3">D3-$D$17</f>
        <v>-1.1999999999999993</v>
      </c>
      <c r="H3" s="6">
        <f>SQRT((F3^2)+(F$17^2))</f>
        <v>0.53087672321170754</v>
      </c>
      <c r="I3" s="11">
        <f t="shared" ref="I3:I17" si="4">(C3-B3)*24</f>
        <v>78.833333333255723</v>
      </c>
      <c r="J3" s="8">
        <f t="shared" ref="J3:J17" si="5">1/60</f>
        <v>1.6666666666666666E-2</v>
      </c>
      <c r="K3" s="9">
        <f>1-EXP(-$AE$3*I3)</f>
        <v>0.5893248692837274</v>
      </c>
      <c r="L3" s="6">
        <f t="shared" ref="L3:L17" si="6">K3*SQRT(((J3/I3)^2))</f>
        <v>1.2459299562036101E-4</v>
      </c>
      <c r="M3" s="9">
        <f>G3/((1+K3))</f>
        <v>-0.75503757802570093</v>
      </c>
      <c r="N3" s="6">
        <f t="shared" si="0"/>
        <v>-0.33402660091202235</v>
      </c>
      <c r="O3" s="9">
        <f>M3*K3</f>
        <v>-0.44496242197429831</v>
      </c>
      <c r="P3" s="6">
        <f t="shared" si="1"/>
        <v>-0.1968502053978109</v>
      </c>
      <c r="Q3" s="9">
        <f t="shared" ref="Q3:Q17" si="7">M3+O3</f>
        <v>-1.1999999999999993</v>
      </c>
      <c r="R3" s="9">
        <v>0.97170000000000023</v>
      </c>
      <c r="S3" s="6">
        <v>1.4142135623730951E-4</v>
      </c>
      <c r="T3" s="9">
        <f>M3/R3</f>
        <v>-0.77702745500226489</v>
      </c>
      <c r="U3" s="6">
        <f t="shared" ref="U3:U16" si="8">T3*SQRT(((S3/R3)^2)+((N3/M3)^2))</f>
        <v>-0.34375488215249378</v>
      </c>
      <c r="V3" s="9">
        <f>SUM($T$2:T3)</f>
        <v>-1.5149246794273723</v>
      </c>
      <c r="W3" s="6">
        <f>SQRT((U3^2)+(U2^2))</f>
        <v>0.53897494262601597</v>
      </c>
      <c r="X3" s="9">
        <f t="shared" ref="X3:X17" si="9">M3/60</f>
        <v>-1.2583959633761682E-2</v>
      </c>
      <c r="Y3" s="6">
        <f t="shared" ref="Y3:Y16" si="10">X3*SQRT(((N3/M3)^2))</f>
        <v>-5.5671100152003732E-3</v>
      </c>
      <c r="Z3" s="6">
        <f t="shared" ref="Z3:Z16" si="11">Y3^2</f>
        <v>3.0992713921344301E-5</v>
      </c>
      <c r="AA3" s="9">
        <f>(C3-$AE$6)*24</f>
        <v>57.833333333255723</v>
      </c>
      <c r="AB3" s="12">
        <f t="shared" ref="AB3:AB16" si="12">EXP(-$AE$9*AA3)</f>
        <v>0.99984111877171666</v>
      </c>
      <c r="AC3" s="9">
        <f t="shared" ref="AC3:AC16" si="13">X3/AB3</f>
        <v>-1.2585959306435412E-2</v>
      </c>
      <c r="AE3">
        <f>LN(2)/61.4</f>
        <v>1.1289042028663604E-2</v>
      </c>
    </row>
    <row r="4" spans="1:31" x14ac:dyDescent="0.25">
      <c r="A4" s="14" t="s">
        <v>13</v>
      </c>
      <c r="B4" s="13">
        <v>43299.625</v>
      </c>
      <c r="C4" s="10">
        <v>43302.932638773149</v>
      </c>
      <c r="D4" s="9">
        <v>6.78</v>
      </c>
      <c r="E4" s="6">
        <v>7.09</v>
      </c>
      <c r="F4" s="6">
        <f t="shared" si="2"/>
        <v>0.48070200000000007</v>
      </c>
      <c r="G4" s="9">
        <f t="shared" si="3"/>
        <v>-0.85999999999999943</v>
      </c>
      <c r="H4" s="6">
        <f t="shared" ref="H4:H17" si="14">SQRT((F4^2)+(F$17^2))</f>
        <v>0.70109455618197469</v>
      </c>
      <c r="I4" s="11">
        <f t="shared" si="4"/>
        <v>79.383330555574503</v>
      </c>
      <c r="J4" s="8">
        <f t="shared" si="5"/>
        <v>1.6666666666666666E-2</v>
      </c>
      <c r="K4" s="9">
        <f>1-EXP(-$AE$3*I4)</f>
        <v>0.59186682765000698</v>
      </c>
      <c r="L4" s="6">
        <f t="shared" si="6"/>
        <v>1.2426345756045391E-4</v>
      </c>
      <c r="M4" s="9">
        <f>G4/((1+K4))</f>
        <v>-0.54024619714550759</v>
      </c>
      <c r="N4" s="6">
        <f t="shared" si="0"/>
        <v>-0.44042288416003877</v>
      </c>
      <c r="O4" s="9">
        <f>M4*K4</f>
        <v>-0.31975380285449184</v>
      </c>
      <c r="P4" s="6">
        <f t="shared" si="1"/>
        <v>-0.26067170391689898</v>
      </c>
      <c r="Q4" s="9">
        <f t="shared" si="7"/>
        <v>-0.85999999999999943</v>
      </c>
      <c r="R4" s="9">
        <v>1.032</v>
      </c>
      <c r="S4" s="6">
        <v>1.4142135623730951E-4</v>
      </c>
      <c r="T4" s="9">
        <f>M4/R4</f>
        <v>-0.52349437707898017</v>
      </c>
      <c r="U4" s="6">
        <f t="shared" si="8"/>
        <v>-0.42676636664959766</v>
      </c>
      <c r="V4" s="9">
        <f>SUM($T$2:T4)</f>
        <v>-2.0384190565063527</v>
      </c>
      <c r="W4" s="6">
        <f>SQRT((U4^2)+(U3^2)+(U2^2))</f>
        <v>0.6874761963021091</v>
      </c>
      <c r="X4" s="9">
        <f t="shared" si="9"/>
        <v>-9.0041032857584597E-3</v>
      </c>
      <c r="Y4" s="6">
        <f t="shared" si="10"/>
        <v>-7.3403814026673127E-3</v>
      </c>
      <c r="Z4" s="6">
        <f t="shared" si="11"/>
        <v>5.3881199136624143E-5</v>
      </c>
      <c r="AA4" s="9">
        <f>(C4-$AE$6)*24</f>
        <v>58.383330555574503</v>
      </c>
      <c r="AB4" s="12">
        <f t="shared" si="12"/>
        <v>0.99983960792631044</v>
      </c>
      <c r="AC4" s="9">
        <f t="shared" si="13"/>
        <v>-9.0055477042294517E-3</v>
      </c>
    </row>
    <row r="5" spans="1:31" x14ac:dyDescent="0.25">
      <c r="A5" s="14" t="s">
        <v>14</v>
      </c>
      <c r="B5" s="13">
        <v>43299.625</v>
      </c>
      <c r="C5" s="10">
        <v>43302.954861111109</v>
      </c>
      <c r="D5" s="9">
        <v>6.75</v>
      </c>
      <c r="E5" s="6">
        <v>7.11</v>
      </c>
      <c r="F5" s="6">
        <f t="shared" si="2"/>
        <v>0.47992499999999999</v>
      </c>
      <c r="G5" s="9">
        <f t="shared" si="3"/>
        <v>-0.88999999999999968</v>
      </c>
      <c r="H5" s="6">
        <f t="shared" si="14"/>
        <v>0.70056203831566544</v>
      </c>
      <c r="I5" s="11">
        <f t="shared" si="4"/>
        <v>79.916666666627862</v>
      </c>
      <c r="J5" s="8">
        <f t="shared" si="5"/>
        <v>1.6666666666666666E-2</v>
      </c>
      <c r="K5" s="9">
        <f>1-EXP(-$AE$3*I5)</f>
        <v>0.59431675507233261</v>
      </c>
      <c r="L5" s="6">
        <f t="shared" si="6"/>
        <v>1.2394510011942046E-4</v>
      </c>
      <c r="M5" s="9">
        <f>G5/((1+K5))</f>
        <v>-0.55823285878948259</v>
      </c>
      <c r="N5" s="6">
        <f t="shared" si="0"/>
        <v>-0.43941209340928639</v>
      </c>
      <c r="O5" s="9">
        <f>M5*K5</f>
        <v>-0.33176714121051698</v>
      </c>
      <c r="P5" s="6">
        <f t="shared" si="1"/>
        <v>-0.26114997866033007</v>
      </c>
      <c r="Q5" s="9">
        <f t="shared" si="7"/>
        <v>-0.88999999999999957</v>
      </c>
      <c r="R5" s="9">
        <v>0.8855000000000004</v>
      </c>
      <c r="S5" s="6">
        <v>1.4142135623730951E-4</v>
      </c>
      <c r="T5" s="9">
        <f>M5/R5</f>
        <v>-0.63041542494577341</v>
      </c>
      <c r="U5" s="6">
        <f t="shared" si="8"/>
        <v>-0.4962304940188883</v>
      </c>
      <c r="V5" s="9">
        <f>SUM($T$2:T5)</f>
        <v>-2.6688344814521261</v>
      </c>
      <c r="W5" s="6">
        <f>SQRT((U5^2)+(U4^2)+(U3^2)+(U2^2))</f>
        <v>0.84786096954409107</v>
      </c>
      <c r="X5" s="9">
        <f t="shared" si="9"/>
        <v>-9.3038809798247097E-3</v>
      </c>
      <c r="Y5" s="6">
        <f t="shared" si="10"/>
        <v>-7.3235348901547733E-3</v>
      </c>
      <c r="Z5" s="6">
        <f t="shared" si="11"/>
        <v>5.3634163287314288E-5</v>
      </c>
      <c r="AA5" s="9">
        <f>(C5-$AE$6)*24</f>
        <v>58.916666666627862</v>
      </c>
      <c r="AB5" s="12">
        <f t="shared" si="12"/>
        <v>0.99983814285124917</v>
      </c>
      <c r="AC5" s="9">
        <f t="shared" si="13"/>
        <v>-9.305387123252502E-3</v>
      </c>
    </row>
    <row r="6" spans="1:31" x14ac:dyDescent="0.25">
      <c r="A6" s="14" t="s">
        <v>15</v>
      </c>
      <c r="B6" s="13">
        <v>43299.625</v>
      </c>
      <c r="C6" s="10">
        <v>43302.977777777778</v>
      </c>
      <c r="D6" s="9">
        <v>18.18</v>
      </c>
      <c r="E6" s="6">
        <v>4.33</v>
      </c>
      <c r="F6" s="6">
        <f t="shared" si="2"/>
        <v>0.78719399999999995</v>
      </c>
      <c r="G6" s="9">
        <f t="shared" si="3"/>
        <v>10.54</v>
      </c>
      <c r="H6" s="6">
        <f t="shared" si="14"/>
        <v>0.93815433567190842</v>
      </c>
      <c r="I6" s="11">
        <f t="shared" si="4"/>
        <v>80.466666666674428</v>
      </c>
      <c r="J6" s="8">
        <f t="shared" si="5"/>
        <v>1.6666666666666666E-2</v>
      </c>
      <c r="K6" s="9">
        <f>1-EXP(-$AE$3*I6)</f>
        <v>0.59682782777526744</v>
      </c>
      <c r="L6" s="6">
        <f t="shared" si="6"/>
        <v>1.2361802563695315E-4</v>
      </c>
      <c r="M6" s="9">
        <f>G6/((1+K6))</f>
        <v>6.6005863729745604</v>
      </c>
      <c r="N6" s="6">
        <f t="shared" si="0"/>
        <v>0.58751285479937554</v>
      </c>
      <c r="O6" s="9">
        <f>M6*K6</f>
        <v>3.9394136270254383</v>
      </c>
      <c r="P6" s="6">
        <f t="shared" si="1"/>
        <v>0.35064497028147035</v>
      </c>
      <c r="Q6" s="9">
        <f t="shared" si="7"/>
        <v>10.54</v>
      </c>
      <c r="R6" s="9">
        <v>0.82019999999999982</v>
      </c>
      <c r="S6" s="6">
        <v>1.4142135623730951E-4</v>
      </c>
      <c r="T6" s="9">
        <f>M6/R6</f>
        <v>8.0475327639289951</v>
      </c>
      <c r="U6" s="6">
        <f t="shared" si="8"/>
        <v>0.71630572679770144</v>
      </c>
      <c r="V6" s="9">
        <f>SUM($T$2:T6)</f>
        <v>5.3786982824768685</v>
      </c>
      <c r="W6" s="6">
        <f>SQRT((U6^2)+(U5^2)+(U4^2)+(U3^2)+(U2^2))</f>
        <v>1.1099378892169729</v>
      </c>
      <c r="X6" s="9">
        <f t="shared" si="9"/>
        <v>0.11000977288290933</v>
      </c>
      <c r="Y6" s="6">
        <f t="shared" si="10"/>
        <v>9.7918809133229253E-3</v>
      </c>
      <c r="Z6" s="6">
        <f t="shared" si="11"/>
        <v>9.5880931820697802E-5</v>
      </c>
      <c r="AA6" s="9">
        <f>(C6-$AE$6)*24</f>
        <v>59.466666666674428</v>
      </c>
      <c r="AB6" s="12">
        <f t="shared" si="12"/>
        <v>0.99983663200270945</v>
      </c>
      <c r="AC6" s="9">
        <f t="shared" si="13"/>
        <v>0.11002774789572944</v>
      </c>
      <c r="AE6" s="1">
        <v>43300.5</v>
      </c>
    </row>
    <row r="7" spans="1:31" x14ac:dyDescent="0.25">
      <c r="A7" s="14" t="s">
        <v>16</v>
      </c>
      <c r="B7" s="13">
        <v>43299.625</v>
      </c>
      <c r="C7" s="10">
        <v>43303.000694502312</v>
      </c>
      <c r="D7" s="9">
        <v>129.01</v>
      </c>
      <c r="E7" s="6">
        <v>1.63</v>
      </c>
      <c r="F7" s="6">
        <f t="shared" si="2"/>
        <v>2.1028629999999997</v>
      </c>
      <c r="G7" s="9">
        <f t="shared" si="3"/>
        <v>121.36999999999999</v>
      </c>
      <c r="H7" s="6">
        <f t="shared" si="14"/>
        <v>2.1639066432434184</v>
      </c>
      <c r="I7" s="11">
        <f t="shared" si="4"/>
        <v>81.016668055497576</v>
      </c>
      <c r="J7" s="8">
        <f t="shared" si="5"/>
        <v>1.6666666666666666E-2</v>
      </c>
      <c r="K7" s="9">
        <f>1-EXP(-$AE$3*I7)</f>
        <v>0.59932336387968421</v>
      </c>
      <c r="L7" s="6">
        <f t="shared" si="6"/>
        <v>1.2329219370618466E-4</v>
      </c>
      <c r="M7" s="9">
        <f>G7/((1+K7))</f>
        <v>75.888342996238848</v>
      </c>
      <c r="N7" s="6">
        <f t="shared" si="0"/>
        <v>1.3531039024983993</v>
      </c>
      <c r="O7" s="9">
        <f>M7*K7</f>
        <v>45.481657003761143</v>
      </c>
      <c r="P7" s="6">
        <f t="shared" si="1"/>
        <v>0.81100075651070846</v>
      </c>
      <c r="Q7" s="9">
        <f t="shared" si="7"/>
        <v>121.36999999999999</v>
      </c>
      <c r="R7" s="9">
        <v>0.80360000000000031</v>
      </c>
      <c r="S7" s="6">
        <v>1.4142135623730951E-4</v>
      </c>
      <c r="T7" s="9">
        <f>M7/R7</f>
        <v>94.435469134194648</v>
      </c>
      <c r="U7" s="6">
        <f t="shared" si="8"/>
        <v>1.6838847797981404</v>
      </c>
      <c r="V7" s="9">
        <f>SUM($T$2:T7)</f>
        <v>99.814167416671523</v>
      </c>
      <c r="W7" s="6">
        <f>SQRT((U7^2)+(U6^2)+(U5^2)+(U4^2)+(U3^2)+(U2^2))</f>
        <v>2.0167870659926548</v>
      </c>
      <c r="X7" s="9">
        <f t="shared" si="9"/>
        <v>1.2648057166039808</v>
      </c>
      <c r="Y7" s="6">
        <f t="shared" si="10"/>
        <v>2.2551731708306655E-2</v>
      </c>
      <c r="Z7" s="6">
        <f t="shared" si="11"/>
        <v>5.0858060304344375E-4</v>
      </c>
      <c r="AA7" s="9">
        <f>(C7-$AE$6)*24</f>
        <v>60.016668055497576</v>
      </c>
      <c r="AB7" s="12">
        <f t="shared" si="12"/>
        <v>0.99983512115263784</v>
      </c>
      <c r="AC7" s="9">
        <f t="shared" si="13"/>
        <v>1.2650142907021285</v>
      </c>
    </row>
    <row r="8" spans="1:31" x14ac:dyDescent="0.25">
      <c r="A8" s="14" t="s">
        <v>17</v>
      </c>
      <c r="B8" s="13">
        <v>43299.625</v>
      </c>
      <c r="C8" s="10">
        <v>43303.023611226854</v>
      </c>
      <c r="D8" s="9">
        <v>245.29</v>
      </c>
      <c r="E8" s="6">
        <v>1.18</v>
      </c>
      <c r="F8" s="6">
        <f t="shared" si="2"/>
        <v>2.8944220000000001</v>
      </c>
      <c r="G8" s="9">
        <f t="shared" si="3"/>
        <v>237.65</v>
      </c>
      <c r="H8" s="6">
        <f t="shared" si="14"/>
        <v>2.9390709208843533</v>
      </c>
      <c r="I8" s="11">
        <f t="shared" si="4"/>
        <v>81.566669444495346</v>
      </c>
      <c r="J8" s="8">
        <f t="shared" si="5"/>
        <v>1.6666666666666666E-2</v>
      </c>
      <c r="K8" s="9">
        <f>1-EXP(-$AE$3*I8)</f>
        <v>0.60180345323315687</v>
      </c>
      <c r="L8" s="6">
        <f t="shared" si="6"/>
        <v>1.2296759966043755E-4</v>
      </c>
      <c r="M8" s="9">
        <f>G8/((1+K8))</f>
        <v>148.3640202674778</v>
      </c>
      <c r="N8" s="6">
        <f t="shared" si="0"/>
        <v>1.8351015777470103</v>
      </c>
      <c r="O8" s="9">
        <f>M8*K8</f>
        <v>89.285979732522208</v>
      </c>
      <c r="P8" s="6">
        <f t="shared" si="1"/>
        <v>1.1045211494913778</v>
      </c>
      <c r="Q8" s="9">
        <f t="shared" si="7"/>
        <v>237.65</v>
      </c>
      <c r="R8" s="9">
        <v>0.8149999999999995</v>
      </c>
      <c r="S8" s="6">
        <v>1.4142135623730951E-4</v>
      </c>
      <c r="T8" s="9">
        <f>M8/R8</f>
        <v>182.04174265948208</v>
      </c>
      <c r="U8" s="6">
        <f t="shared" si="8"/>
        <v>2.2518799434847745</v>
      </c>
      <c r="V8" s="9">
        <f>SUM($T$2:T8)</f>
        <v>281.85591007615358</v>
      </c>
      <c r="W8" s="6">
        <f>SQRT((U8^2)+(U7^2)+(U6^2)+(U5^2)+(U4^2)+(U3^2)+(U2^2))</f>
        <v>3.022977563499976</v>
      </c>
      <c r="X8" s="9">
        <f t="shared" si="9"/>
        <v>2.4727336711246299</v>
      </c>
      <c r="Y8" s="6">
        <f t="shared" si="10"/>
        <v>3.0585026295783503E-2</v>
      </c>
      <c r="Z8" s="6">
        <f t="shared" si="11"/>
        <v>9.3544383351376831E-4</v>
      </c>
      <c r="AA8" s="9">
        <f>(C8-$AE$6)*24</f>
        <v>60.566669444495346</v>
      </c>
      <c r="AB8" s="12">
        <f t="shared" si="12"/>
        <v>0.99983361030484863</v>
      </c>
      <c r="AC8" s="9">
        <f t="shared" si="13"/>
        <v>2.4731451769966957</v>
      </c>
      <c r="AE8" t="s">
        <v>33</v>
      </c>
    </row>
    <row r="9" spans="1:31" x14ac:dyDescent="0.25">
      <c r="A9" s="14" t="s">
        <v>18</v>
      </c>
      <c r="B9" s="13">
        <v>43299.625</v>
      </c>
      <c r="C9" s="10">
        <v>43303.04583333333</v>
      </c>
      <c r="D9" s="9">
        <v>228.44</v>
      </c>
      <c r="E9" s="6">
        <v>1.22</v>
      </c>
      <c r="F9" s="6">
        <f t="shared" si="2"/>
        <v>2.7869679999999999</v>
      </c>
      <c r="G9" s="9">
        <f t="shared" si="3"/>
        <v>220.8</v>
      </c>
      <c r="H9" s="6">
        <f t="shared" si="14"/>
        <v>2.833310748387476</v>
      </c>
      <c r="I9" s="11">
        <f t="shared" si="4"/>
        <v>82.099999999918509</v>
      </c>
      <c r="J9" s="8">
        <f t="shared" si="5"/>
        <v>1.6666666666666666E-2</v>
      </c>
      <c r="K9" s="9">
        <f>1-EXP(-$AE$3*I9)</f>
        <v>0.60419370860557198</v>
      </c>
      <c r="L9" s="6">
        <f t="shared" si="6"/>
        <v>1.2265402123552002E-4</v>
      </c>
      <c r="M9" s="9">
        <f>G9/((1+K9))</f>
        <v>137.63923821389875</v>
      </c>
      <c r="N9" s="6">
        <f t="shared" si="0"/>
        <v>1.7664109186021919</v>
      </c>
      <c r="O9" s="9">
        <f>M9*K9</f>
        <v>83.160761786101247</v>
      </c>
      <c r="P9" s="6">
        <f t="shared" si="1"/>
        <v>1.067387876662381</v>
      </c>
      <c r="Q9" s="9">
        <f t="shared" si="7"/>
        <v>220.8</v>
      </c>
      <c r="R9" s="9">
        <v>0.81190000000000051</v>
      </c>
      <c r="S9" s="6">
        <v>1.4142135623730951E-4</v>
      </c>
      <c r="T9" s="9">
        <f>M9/R9</f>
        <v>169.52732875218459</v>
      </c>
      <c r="U9" s="6">
        <f t="shared" si="8"/>
        <v>2.175851226954022</v>
      </c>
      <c r="V9" s="9">
        <f>SUM($T$2:T9)</f>
        <v>451.38323882833816</v>
      </c>
      <c r="W9" s="6">
        <f>SQRT((U9^2)+(U8^2)+(U7^2)+(U6^2)+(U5^2)+(U4^2)+(U3^2)+(U2^2))</f>
        <v>3.7246103032749045</v>
      </c>
      <c r="X9" s="9">
        <f t="shared" si="9"/>
        <v>2.2939873035649794</v>
      </c>
      <c r="Y9" s="6">
        <f t="shared" si="10"/>
        <v>2.94401819767032E-2</v>
      </c>
      <c r="Z9" s="6">
        <f t="shared" si="11"/>
        <v>8.6672431482139999E-4</v>
      </c>
      <c r="AA9" s="9">
        <f>(C9-$AE$6)*24</f>
        <v>61.099999999918509</v>
      </c>
      <c r="AB9" s="12">
        <f t="shared" si="12"/>
        <v>0.99983214525383701</v>
      </c>
      <c r="AC9" s="9">
        <f t="shared" si="13"/>
        <v>2.2943724248659585</v>
      </c>
      <c r="AE9">
        <f>LN(2)/252288</f>
        <v>2.7474441137110973E-6</v>
      </c>
    </row>
    <row r="10" spans="1:31" x14ac:dyDescent="0.25">
      <c r="A10" s="14" t="s">
        <v>19</v>
      </c>
      <c r="B10" s="13">
        <v>43299.625</v>
      </c>
      <c r="C10" s="10">
        <v>43303.068749999999</v>
      </c>
      <c r="D10" s="9">
        <v>156.88</v>
      </c>
      <c r="E10" s="6">
        <v>1.47</v>
      </c>
      <c r="F10" s="6">
        <f t="shared" si="2"/>
        <v>2.306136</v>
      </c>
      <c r="G10" s="9">
        <f t="shared" si="3"/>
        <v>149.24</v>
      </c>
      <c r="H10" s="6">
        <f t="shared" si="14"/>
        <v>2.3619319241671635</v>
      </c>
      <c r="I10" s="11">
        <f t="shared" si="4"/>
        <v>82.649999999965075</v>
      </c>
      <c r="J10" s="8">
        <f t="shared" si="5"/>
        <v>1.6666666666666666E-2</v>
      </c>
      <c r="K10" s="9">
        <f>1-EXP(-$AE$3*I10)</f>
        <v>0.60664364556105976</v>
      </c>
      <c r="L10" s="6">
        <f t="shared" si="6"/>
        <v>1.2233185028459693E-4</v>
      </c>
      <c r="M10" s="9">
        <f>G10/((1+K10))</f>
        <v>92.889297768257478</v>
      </c>
      <c r="N10" s="6">
        <f t="shared" si="0"/>
        <v>1.470222504303027</v>
      </c>
      <c r="O10" s="9">
        <f>M10*K10</f>
        <v>56.350702231742531</v>
      </c>
      <c r="P10" s="6">
        <f t="shared" si="1"/>
        <v>0.89197352438500466</v>
      </c>
      <c r="Q10" s="9">
        <f t="shared" si="7"/>
        <v>149.24</v>
      </c>
      <c r="R10" s="9">
        <v>0.87640000000000029</v>
      </c>
      <c r="S10" s="6">
        <v>1.4142135623730951E-4</v>
      </c>
      <c r="T10" s="9">
        <f>M10/R10</f>
        <v>105.98961406692999</v>
      </c>
      <c r="U10" s="6">
        <f t="shared" si="8"/>
        <v>1.677657360963756</v>
      </c>
      <c r="V10" s="9">
        <f>SUM($T$2:T10)</f>
        <v>557.37285289526812</v>
      </c>
      <c r="W10" s="6">
        <f>SQRT((U10^2)+(U9^2)+(U8^2)+(U7^2)+(U6^2)+(U5^2)+(U4^2)+(U3^2)+(U2^2))</f>
        <v>4.0850038105315702</v>
      </c>
      <c r="X10" s="9">
        <f t="shared" si="9"/>
        <v>1.5481549628042912</v>
      </c>
      <c r="Y10" s="6">
        <f t="shared" si="10"/>
        <v>2.4503708405050451E-2</v>
      </c>
      <c r="Z10" s="6">
        <f t="shared" si="11"/>
        <v>6.0043172559974013E-4</v>
      </c>
      <c r="AA10" s="9">
        <f>(C10-$AE$6)*24</f>
        <v>61.649999999965075</v>
      </c>
      <c r="AB10" s="12">
        <f t="shared" si="12"/>
        <v>0.99983063441436026</v>
      </c>
      <c r="AC10" s="9">
        <f t="shared" si="13"/>
        <v>1.5484172113921133</v>
      </c>
    </row>
    <row r="11" spans="1:31" x14ac:dyDescent="0.25">
      <c r="A11" s="14" t="s">
        <v>20</v>
      </c>
      <c r="B11" s="13">
        <v>43299.625</v>
      </c>
      <c r="C11" s="10">
        <v>43303.091666666667</v>
      </c>
      <c r="D11" s="9">
        <v>90.59</v>
      </c>
      <c r="E11" s="6">
        <v>1.94</v>
      </c>
      <c r="F11" s="6">
        <f t="shared" si="2"/>
        <v>1.7574460000000001</v>
      </c>
      <c r="G11" s="9">
        <f t="shared" si="3"/>
        <v>82.95</v>
      </c>
      <c r="H11" s="6">
        <f t="shared" si="14"/>
        <v>1.8300479793764972</v>
      </c>
      <c r="I11" s="11">
        <f t="shared" si="4"/>
        <v>83.200000000011642</v>
      </c>
      <c r="J11" s="8">
        <f t="shared" si="5"/>
        <v>1.6666666666666666E-2</v>
      </c>
      <c r="K11" s="9">
        <f>1-EXP(-$AE$3*I11)</f>
        <v>0.60907841805045271</v>
      </c>
      <c r="L11" s="6">
        <f t="shared" si="6"/>
        <v>1.220109010517563E-4</v>
      </c>
      <c r="M11" s="9">
        <f>G11/((1+K11))</f>
        <v>51.551247639317417</v>
      </c>
      <c r="N11" s="6">
        <f t="shared" si="0"/>
        <v>1.137373663995191</v>
      </c>
      <c r="O11" s="9">
        <f>M11*K11</f>
        <v>31.398752360682586</v>
      </c>
      <c r="P11" s="6">
        <f t="shared" si="1"/>
        <v>0.69277830556120279</v>
      </c>
      <c r="Q11" s="9">
        <f t="shared" si="7"/>
        <v>82.95</v>
      </c>
      <c r="R11" s="9">
        <v>0.77029999999999976</v>
      </c>
      <c r="S11" s="6">
        <v>1.4142135623730951E-4</v>
      </c>
      <c r="T11" s="9">
        <f>M11/R11</f>
        <v>66.92359812971236</v>
      </c>
      <c r="U11" s="6">
        <f t="shared" si="8"/>
        <v>1.4765845014560011</v>
      </c>
      <c r="V11" s="9">
        <f>SUM($T$2:T11)</f>
        <v>624.29645102498046</v>
      </c>
      <c r="W11" s="6">
        <f>SQRT((U11^2)+(U10^2)+(U9^2)+(U8^2)+(U7^2)+(U6^2)+(U5^2)+(U4^2)+(U3^2)+(U2^2))</f>
        <v>4.3436802278710065</v>
      </c>
      <c r="X11" s="9">
        <f t="shared" si="9"/>
        <v>0.85918746065529028</v>
      </c>
      <c r="Y11" s="6">
        <f t="shared" si="10"/>
        <v>1.8956227733253186E-2</v>
      </c>
      <c r="Z11" s="6">
        <f t="shared" si="11"/>
        <v>3.5933856987495724E-4</v>
      </c>
      <c r="AA11" s="9">
        <f>(C11-$AE$6)*24</f>
        <v>62.200000000011642</v>
      </c>
      <c r="AB11" s="12">
        <f t="shared" si="12"/>
        <v>0.99982912357716647</v>
      </c>
      <c r="AC11" s="9">
        <f t="shared" si="13"/>
        <v>0.85933430062659955</v>
      </c>
    </row>
    <row r="12" spans="1:31" x14ac:dyDescent="0.25">
      <c r="A12" s="14" t="s">
        <v>21</v>
      </c>
      <c r="B12" s="13">
        <v>43299.625</v>
      </c>
      <c r="C12" s="10">
        <v>43303.114583333336</v>
      </c>
      <c r="D12" s="9">
        <v>58.99</v>
      </c>
      <c r="E12" s="6">
        <v>2.4</v>
      </c>
      <c r="F12" s="6">
        <f t="shared" si="2"/>
        <v>1.4157600000000001</v>
      </c>
      <c r="G12" s="9">
        <f t="shared" si="3"/>
        <v>51.35</v>
      </c>
      <c r="H12" s="6">
        <f t="shared" si="14"/>
        <v>1.5049370556617976</v>
      </c>
      <c r="I12" s="11">
        <f t="shared" si="4"/>
        <v>83.750000000058208</v>
      </c>
      <c r="J12" s="8">
        <f t="shared" si="5"/>
        <v>1.6666666666666666E-2</v>
      </c>
      <c r="K12" s="9">
        <f>1-EXP(-$AE$3*I12)</f>
        <v>0.61149811993781233</v>
      </c>
      <c r="L12" s="6">
        <f t="shared" si="6"/>
        <v>1.2169116814674375E-4</v>
      </c>
      <c r="M12" s="9">
        <f>G12/((1+K12))</f>
        <v>31.86475948354293</v>
      </c>
      <c r="N12" s="6">
        <f t="shared" si="0"/>
        <v>0.9338960630024925</v>
      </c>
      <c r="O12" s="9">
        <f>M12*K12</f>
        <v>19.485240516457079</v>
      </c>
      <c r="P12" s="6">
        <f t="shared" si="1"/>
        <v>0.57108885143639887</v>
      </c>
      <c r="Q12" s="9">
        <f t="shared" si="7"/>
        <v>51.350000000000009</v>
      </c>
      <c r="R12" s="9">
        <v>0.82199999999999918</v>
      </c>
      <c r="S12" s="6">
        <v>1.4142135623730951E-4</v>
      </c>
      <c r="T12" s="9">
        <f>M12/R12</f>
        <v>38.764914213555912</v>
      </c>
      <c r="U12" s="6">
        <f t="shared" si="8"/>
        <v>1.1361461724068755</v>
      </c>
      <c r="V12" s="9">
        <f>SUM($T$2:T12)</f>
        <v>663.06136523853638</v>
      </c>
      <c r="W12" s="6">
        <f>SQRT((U12^2)+(U11^2)+(U10^2)+(U9^2)+(U8^2)+(U7^2)+(U6^2)+(U5^2)+(U4^2)+(U3^2)+(U2^2))</f>
        <v>4.4898091325881895</v>
      </c>
      <c r="X12" s="9">
        <f t="shared" si="9"/>
        <v>0.53107932472571551</v>
      </c>
      <c r="Y12" s="6">
        <f t="shared" si="10"/>
        <v>1.5564934383374876E-2</v>
      </c>
      <c r="Z12" s="6">
        <f t="shared" si="11"/>
        <v>2.4226718235876543E-4</v>
      </c>
      <c r="AA12" s="9">
        <f>(C12-$AE$6)*24</f>
        <v>62.750000000058208</v>
      </c>
      <c r="AB12" s="12">
        <f t="shared" si="12"/>
        <v>0.99982761274225562</v>
      </c>
      <c r="AC12" s="9">
        <f t="shared" si="13"/>
        <v>0.53117089181914989</v>
      </c>
    </row>
    <row r="13" spans="1:31" x14ac:dyDescent="0.25">
      <c r="A13" s="14" t="s">
        <v>22</v>
      </c>
      <c r="B13" s="13">
        <v>43299.625</v>
      </c>
      <c r="C13" s="10">
        <v>43303.137499999997</v>
      </c>
      <c r="D13" s="9">
        <v>30.46</v>
      </c>
      <c r="E13" s="6">
        <v>3.35</v>
      </c>
      <c r="F13" s="6">
        <f t="shared" si="2"/>
        <v>1.02041</v>
      </c>
      <c r="G13" s="9">
        <f t="shared" si="3"/>
        <v>22.82</v>
      </c>
      <c r="H13" s="6">
        <f t="shared" si="14"/>
        <v>1.1409188104348178</v>
      </c>
      <c r="I13" s="11">
        <f t="shared" si="4"/>
        <v>84.299999999930151</v>
      </c>
      <c r="J13" s="8">
        <f t="shared" si="5"/>
        <v>1.6666666666666666E-2</v>
      </c>
      <c r="K13" s="9">
        <f>1-EXP(-$AE$3*I13)</f>
        <v>0.61390284450544441</v>
      </c>
      <c r="L13" s="6">
        <f t="shared" si="6"/>
        <v>1.2137264620521017E-4</v>
      </c>
      <c r="M13" s="9">
        <f>G13/((1+K13))</f>
        <v>14.139636767907698</v>
      </c>
      <c r="N13" s="6">
        <f t="shared" si="0"/>
        <v>0.70693705930193729</v>
      </c>
      <c r="O13" s="9">
        <f>M13*K13</f>
        <v>8.6803632320923043</v>
      </c>
      <c r="P13" s="6">
        <f t="shared" si="1"/>
        <v>0.43399406476521663</v>
      </c>
      <c r="Q13" s="9">
        <f t="shared" si="7"/>
        <v>22.82</v>
      </c>
      <c r="R13" s="9">
        <v>0.81849999999999934</v>
      </c>
      <c r="S13" s="6">
        <v>1.4142135623730951E-4</v>
      </c>
      <c r="T13" s="9">
        <f>M13/R13</f>
        <v>17.275060192923284</v>
      </c>
      <c r="U13" s="6">
        <f t="shared" si="8"/>
        <v>0.86370345840885121</v>
      </c>
      <c r="V13" s="9">
        <f>SUM($T$2:T13)</f>
        <v>680.3364254314597</v>
      </c>
      <c r="W13" s="6">
        <f>SQRT((U13^2)+(U12^2)+(U11^2)+(U10^2)+(U9^2)+(U8^2)+(U7^2)+(U6^2)+(U5^2)+(U4^2)+(U3^2)+(U2^2))</f>
        <v>4.5721296691082287</v>
      </c>
      <c r="X13" s="9">
        <f t="shared" si="9"/>
        <v>0.23566061279846162</v>
      </c>
      <c r="Y13" s="6">
        <f t="shared" si="10"/>
        <v>1.1782284321698954E-2</v>
      </c>
      <c r="Z13" s="6">
        <f t="shared" si="11"/>
        <v>1.3882222383735298E-4</v>
      </c>
      <c r="AA13" s="9">
        <f>(C13-$AE$6)*24</f>
        <v>63.299999999930151</v>
      </c>
      <c r="AB13" s="12">
        <f t="shared" si="12"/>
        <v>0.9998261019096284</v>
      </c>
      <c r="AC13" s="9">
        <f t="shared" si="13"/>
        <v>0.23570160085674813</v>
      </c>
    </row>
    <row r="14" spans="1:31" x14ac:dyDescent="0.25">
      <c r="A14" s="14" t="s">
        <v>23</v>
      </c>
      <c r="B14" s="13">
        <v>43299.625</v>
      </c>
      <c r="C14" s="10">
        <v>43303.159722222219</v>
      </c>
      <c r="D14" s="9">
        <v>24.56</v>
      </c>
      <c r="E14" s="6">
        <v>3.73</v>
      </c>
      <c r="F14" s="6">
        <f t="shared" si="2"/>
        <v>0.9160879999999999</v>
      </c>
      <c r="G14" s="9">
        <f t="shared" si="3"/>
        <v>16.919999999999998</v>
      </c>
      <c r="H14" s="6">
        <f t="shared" si="14"/>
        <v>1.0486545606862157</v>
      </c>
      <c r="I14" s="11">
        <f t="shared" si="4"/>
        <v>84.833333333255723</v>
      </c>
      <c r="J14" s="8">
        <f t="shared" si="5"/>
        <v>1.6666666666666666E-2</v>
      </c>
      <c r="K14" s="9">
        <f>1-EXP(-$AE$3*I14)</f>
        <v>0.61622048286793585</v>
      </c>
      <c r="L14" s="6">
        <f t="shared" si="6"/>
        <v>1.2106492787200385E-4</v>
      </c>
      <c r="M14" s="9">
        <f>G14/((1+K14))</f>
        <v>10.468868684287402</v>
      </c>
      <c r="N14" s="6">
        <f t="shared" si="0"/>
        <v>0.64883463641229333</v>
      </c>
      <c r="O14" s="9">
        <f>M14*K14</f>
        <v>6.4511313157125949</v>
      </c>
      <c r="P14" s="6">
        <f t="shared" si="1"/>
        <v>0.39982720174336733</v>
      </c>
      <c r="Q14" s="9">
        <f t="shared" si="7"/>
        <v>16.919999999999998</v>
      </c>
      <c r="R14" s="9">
        <v>0.81880000000000042</v>
      </c>
      <c r="S14" s="6">
        <v>1.4142135623730951E-4</v>
      </c>
      <c r="T14" s="9">
        <f>M14/R14</f>
        <v>12.78562369844577</v>
      </c>
      <c r="U14" s="6">
        <f t="shared" si="8"/>
        <v>0.79242446981069348</v>
      </c>
      <c r="V14" s="9">
        <f>SUM($T$2:T14)</f>
        <v>693.12204912990546</v>
      </c>
      <c r="W14" s="6">
        <f>SQRT((U14^2)+(U13^2)+(U12^2)+(U11^2)+(U10^2)+(U9^2)+(U8^2)+(U7^2)+(U6^2)+(U5^2)+(U4^2)+(U3^2)+(U2^2))</f>
        <v>4.640291612764706</v>
      </c>
      <c r="X14" s="9">
        <f t="shared" si="9"/>
        <v>0.17448114473812337</v>
      </c>
      <c r="Y14" s="6">
        <f t="shared" si="10"/>
        <v>1.0813910606871556E-2</v>
      </c>
      <c r="Z14" s="6">
        <f t="shared" si="11"/>
        <v>1.1694066261340914E-4</v>
      </c>
      <c r="AA14" s="9">
        <f>(C14-$AE$6)*24</f>
        <v>63.833333333255723</v>
      </c>
      <c r="AB14" s="12">
        <f t="shared" si="12"/>
        <v>0.99982463686198786</v>
      </c>
      <c r="AC14" s="9">
        <f t="shared" si="13"/>
        <v>0.17451174766581404</v>
      </c>
    </row>
    <row r="15" spans="1:31" x14ac:dyDescent="0.25">
      <c r="A15" s="14" t="s">
        <v>24</v>
      </c>
      <c r="B15" s="13">
        <v>43299.625</v>
      </c>
      <c r="C15" s="10">
        <v>43303.182638888888</v>
      </c>
      <c r="D15" s="9">
        <v>19.170000000000002</v>
      </c>
      <c r="E15" s="6">
        <v>4.22</v>
      </c>
      <c r="F15" s="6">
        <f t="shared" si="2"/>
        <v>0.80897399999999997</v>
      </c>
      <c r="G15" s="9">
        <f t="shared" si="3"/>
        <v>11.530000000000001</v>
      </c>
      <c r="H15" s="6">
        <f t="shared" si="14"/>
        <v>0.95650305623139531</v>
      </c>
      <c r="I15" s="11">
        <f t="shared" si="4"/>
        <v>85.383333333302289</v>
      </c>
      <c r="J15" s="8">
        <f t="shared" si="5"/>
        <v>1.6666666666666666E-2</v>
      </c>
      <c r="K15" s="9">
        <f>1-EXP(-$AE$3*I15)</f>
        <v>0.61859597725047477</v>
      </c>
      <c r="L15" s="6">
        <f t="shared" si="6"/>
        <v>1.2074877557109109E-4</v>
      </c>
      <c r="M15" s="9">
        <f>G15/((1+K15))</f>
        <v>7.1234577140035453</v>
      </c>
      <c r="N15" s="6">
        <f t="shared" si="0"/>
        <v>0.59094778284545746</v>
      </c>
      <c r="O15" s="9">
        <f>M15*K15</f>
        <v>4.4065422859964558</v>
      </c>
      <c r="P15" s="6">
        <f t="shared" si="1"/>
        <v>0.36555893318636701</v>
      </c>
      <c r="Q15" s="9">
        <f t="shared" si="7"/>
        <v>11.530000000000001</v>
      </c>
      <c r="R15" s="9">
        <v>0.76929999999999943</v>
      </c>
      <c r="S15" s="6">
        <v>1.4142135623730951E-4</v>
      </c>
      <c r="T15" s="9">
        <f>M15/R15</f>
        <v>9.259661658655336</v>
      </c>
      <c r="U15" s="6">
        <f t="shared" si="8"/>
        <v>0.7681648690444095</v>
      </c>
      <c r="V15" s="9">
        <f>SUM($T$2:T15)</f>
        <v>702.38171078856078</v>
      </c>
      <c r="W15" s="6">
        <f>SQRT((U15^2)+(U14^2)+(U13^2)+(U12^2)+(U11^2)+(U10^2)+(U9^2)+(U8^2)+(U7^2)+(U6^2)+(U5^2)+(U4^2)+(U3^2)+(U2^2))</f>
        <v>4.7034437933846398</v>
      </c>
      <c r="X15" s="9">
        <f t="shared" si="9"/>
        <v>0.11872429523339242</v>
      </c>
      <c r="Y15" s="6">
        <f t="shared" si="10"/>
        <v>9.8491297140909581E-3</v>
      </c>
      <c r="Z15" s="6">
        <f t="shared" si="11"/>
        <v>9.700535612498944E-5</v>
      </c>
      <c r="AA15" s="9">
        <f>(C15-$AE$6)*24</f>
        <v>64.383333333302289</v>
      </c>
      <c r="AB15" s="12">
        <f t="shared" si="12"/>
        <v>0.99982312603385692</v>
      </c>
      <c r="AC15" s="9">
        <f t="shared" si="13"/>
        <v>0.11874529818524329</v>
      </c>
    </row>
    <row r="16" spans="1:31" x14ac:dyDescent="0.25">
      <c r="A16" s="14" t="s">
        <v>25</v>
      </c>
      <c r="B16" s="13">
        <v>43299.625</v>
      </c>
      <c r="C16" s="10">
        <v>43303.205555555556</v>
      </c>
      <c r="D16" s="9">
        <v>14.36</v>
      </c>
      <c r="E16" s="6">
        <v>4.87</v>
      </c>
      <c r="F16" s="6">
        <f t="shared" si="2"/>
        <v>0.69933199999999995</v>
      </c>
      <c r="G16" s="9">
        <f t="shared" si="3"/>
        <v>6.72</v>
      </c>
      <c r="H16" s="6">
        <f t="shared" si="14"/>
        <v>0.86575077830054525</v>
      </c>
      <c r="I16" s="11">
        <f t="shared" si="4"/>
        <v>85.933333333348855</v>
      </c>
      <c r="J16" s="8">
        <f t="shared" si="5"/>
        <v>1.6666666666666666E-2</v>
      </c>
      <c r="K16" s="9">
        <f>1-EXP(-$AE$3*I16)</f>
        <v>0.62095676794688792</v>
      </c>
      <c r="L16" s="6">
        <f t="shared" si="6"/>
        <v>1.2043381845360275E-4</v>
      </c>
      <c r="M16" s="9">
        <f>G16/((1+K16))</f>
        <v>4.1456997082726552</v>
      </c>
      <c r="N16" s="6">
        <f t="shared" si="0"/>
        <v>0.53409922859547876</v>
      </c>
      <c r="O16" s="9">
        <f>M16*K16</f>
        <v>2.5743002917273441</v>
      </c>
      <c r="P16" s="6">
        <f t="shared" si="1"/>
        <v>0.33165290657083807</v>
      </c>
      <c r="Q16" s="9">
        <f t="shared" si="7"/>
        <v>6.7199999999999989</v>
      </c>
      <c r="R16" s="9">
        <v>0.81850000000000023</v>
      </c>
      <c r="S16" s="6">
        <v>1.4142135623730951E-4</v>
      </c>
      <c r="T16" s="9">
        <f>M16/R16</f>
        <v>5.064996589215216</v>
      </c>
      <c r="U16" s="6">
        <f t="shared" si="8"/>
        <v>0.65253476960483725</v>
      </c>
      <c r="V16" s="9">
        <f>SUM($T$2:T16)</f>
        <v>707.44670737777597</v>
      </c>
      <c r="W16" s="6">
        <f>SQRT((U16^2)+(U15^2)+(U14^2)+(U13^2)+(U12^2)+(U11^2)+(U10^2)+(U9^2)+(U8^2)+(U7^2)+(U6^2)+(U5^2)+(U4^2)+(U3^2)+(U2^2))</f>
        <v>4.7484929338761503</v>
      </c>
      <c r="X16" s="9">
        <f t="shared" si="9"/>
        <v>6.9094995137877591E-2</v>
      </c>
      <c r="Y16" s="6">
        <f t="shared" si="10"/>
        <v>8.9016538099246471E-3</v>
      </c>
      <c r="Z16" s="6">
        <f t="shared" si="11"/>
        <v>7.9239440551745981E-5</v>
      </c>
      <c r="AA16" s="9">
        <f>(C16-$AE$6)*24</f>
        <v>64.933333333348855</v>
      </c>
      <c r="AB16" s="12">
        <f t="shared" si="12"/>
        <v>0.99982161520800905</v>
      </c>
      <c r="AC16" s="9">
        <f t="shared" si="13"/>
        <v>6.9107322833286258E-2</v>
      </c>
    </row>
    <row r="17" spans="1:29" ht="15.75" thickBot="1" x14ac:dyDescent="0.3">
      <c r="A17" s="15" t="s">
        <v>26</v>
      </c>
      <c r="B17" s="13">
        <v>43299.625</v>
      </c>
      <c r="C17" s="10">
        <v>43303.228472222225</v>
      </c>
      <c r="D17" s="9">
        <v>7.64</v>
      </c>
      <c r="E17" s="6">
        <v>6.68</v>
      </c>
      <c r="F17" s="6">
        <f t="shared" si="2"/>
        <v>0.51035199999999992</v>
      </c>
      <c r="G17" s="9">
        <f t="shared" si="3"/>
        <v>0</v>
      </c>
      <c r="H17" s="6">
        <f t="shared" si="14"/>
        <v>0.72174671998423368</v>
      </c>
      <c r="I17" s="11">
        <f t="shared" si="4"/>
        <v>86.483333333395422</v>
      </c>
      <c r="J17" s="8">
        <f t="shared" si="5"/>
        <v>1.6666666666666666E-2</v>
      </c>
      <c r="K17" s="9">
        <f>1-EXP(-$AE$3*I17)</f>
        <v>0.62330294596912905</v>
      </c>
      <c r="L17" s="6">
        <f t="shared" si="6"/>
        <v>1.2012005125625007E-4</v>
      </c>
      <c r="M17" s="9">
        <f>G17/((1+K17))</f>
        <v>0</v>
      </c>
      <c r="N17" s="6" t="e">
        <f t="shared" si="0"/>
        <v>#DIV/0!</v>
      </c>
      <c r="O17" s="9">
        <f>M17*K17</f>
        <v>0</v>
      </c>
      <c r="P17" s="6" t="e">
        <f t="shared" si="1"/>
        <v>#DIV/0!</v>
      </c>
      <c r="Q17" s="9">
        <f t="shared" si="7"/>
        <v>0</v>
      </c>
      <c r="R17" s="9"/>
      <c r="S17" s="6">
        <v>1E-4</v>
      </c>
      <c r="T17" s="9"/>
      <c r="U17" s="6"/>
      <c r="V17" s="9"/>
      <c r="W17" s="6"/>
      <c r="X17" s="9">
        <f t="shared" si="9"/>
        <v>0</v>
      </c>
      <c r="Y17" s="6"/>
      <c r="Z17" s="6"/>
      <c r="AA17" s="9"/>
      <c r="AB17" s="9"/>
      <c r="AC17" s="9"/>
    </row>
    <row r="22" spans="1:29" x14ac:dyDescent="0.25">
      <c r="Y22" t="s">
        <v>48</v>
      </c>
    </row>
    <row r="23" spans="1:29" x14ac:dyDescent="0.25">
      <c r="W23" s="4" t="s">
        <v>49</v>
      </c>
      <c r="X23" s="2">
        <f>SUM(X2:X17)</f>
        <v>9.6341079657993305</v>
      </c>
      <c r="Y23" s="2">
        <f>SQRT(SUM(Z2:Z16))</f>
        <v>6.5053886919672288E-2</v>
      </c>
      <c r="Z23" s="2"/>
      <c r="AB23" s="2"/>
      <c r="AC23">
        <f>SUM(AC2:AC16)</f>
        <v>9.6357297356915517</v>
      </c>
    </row>
    <row r="27" spans="1:29" x14ac:dyDescent="0.25">
      <c r="G2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CT15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2021-06-16T13:51:42Z</dcterms:modified>
</cp:coreProperties>
</file>